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600" windowHeight="8250"/>
  </bookViews>
  <sheets>
    <sheet name="Contract aug-dec 2016" sheetId="1" r:id="rId1"/>
  </sheets>
  <definedNames>
    <definedName name="_xlnm.Print_Area" localSheetId="0">'Contract aug-dec 2016'!$A$1:$S$43</definedName>
  </definedNames>
  <calcPr calcId="145621"/>
</workbook>
</file>

<file path=xl/calcChain.xml><?xml version="1.0" encoding="utf-8"?>
<calcChain xmlns="http://schemas.openxmlformats.org/spreadsheetml/2006/main">
  <c r="R45" i="1" l="1"/>
  <c r="R43" i="1"/>
  <c r="R37" i="1" l="1"/>
  <c r="N37" i="1"/>
  <c r="S37" i="1"/>
  <c r="Q37" i="1"/>
  <c r="P37" i="1"/>
  <c r="O37" i="1"/>
  <c r="M37" i="1"/>
  <c r="S28" i="1"/>
  <c r="R28" i="1"/>
  <c r="R40" i="1" s="1"/>
  <c r="R41" i="1" s="1"/>
  <c r="Q28" i="1"/>
  <c r="P28" i="1"/>
  <c r="O28" i="1"/>
  <c r="N28" i="1"/>
  <c r="S24" i="1"/>
  <c r="R24" i="1"/>
  <c r="Q24" i="1"/>
  <c r="P24" i="1"/>
  <c r="O24" i="1"/>
  <c r="N24" i="1"/>
  <c r="M18" i="1"/>
  <c r="R18" i="1"/>
  <c r="Q18" i="1"/>
  <c r="P18" i="1"/>
  <c r="N16" i="1"/>
  <c r="S16" i="1"/>
  <c r="R16" i="1"/>
  <c r="Q16" i="1"/>
  <c r="P16" i="1"/>
  <c r="O16" i="1"/>
  <c r="O18" i="1" s="1"/>
  <c r="M16" i="1"/>
  <c r="Q40" i="1"/>
  <c r="Q41" i="1" s="1"/>
  <c r="L40" i="1"/>
  <c r="L43" i="1"/>
  <c r="K28" i="1"/>
  <c r="L28" i="1"/>
  <c r="P40" i="1" l="1"/>
  <c r="P41" i="1"/>
  <c r="O40" i="1"/>
  <c r="O41" i="1" s="1"/>
  <c r="L41" i="1" l="1"/>
  <c r="L37" i="1"/>
  <c r="M28" i="1"/>
  <c r="M24" i="1"/>
  <c r="L24" i="1"/>
  <c r="L16" i="1"/>
  <c r="L18" i="1"/>
  <c r="M40" i="1" l="1"/>
  <c r="M41" i="1" s="1"/>
  <c r="H6" i="1"/>
  <c r="N39" i="1" l="1"/>
  <c r="J39" i="1"/>
  <c r="F39" i="1"/>
  <c r="S39" i="1" s="1"/>
  <c r="N38" i="1"/>
  <c r="G38" i="1"/>
  <c r="J38" i="1" s="1"/>
  <c r="E38" i="1"/>
  <c r="F38" i="1" s="1"/>
  <c r="K37" i="1"/>
  <c r="H37" i="1"/>
  <c r="G37" i="1"/>
  <c r="D37" i="1"/>
  <c r="N36" i="1"/>
  <c r="J36" i="1"/>
  <c r="I36" i="1"/>
  <c r="I37" i="1" s="1"/>
  <c r="H36" i="1"/>
  <c r="G36" i="1"/>
  <c r="F36" i="1"/>
  <c r="E36" i="1"/>
  <c r="E37" i="1" s="1"/>
  <c r="D36" i="1"/>
  <c r="C36" i="1"/>
  <c r="N35" i="1"/>
  <c r="J35" i="1"/>
  <c r="G35" i="1"/>
  <c r="F35" i="1"/>
  <c r="C35" i="1"/>
  <c r="C37" i="1" s="1"/>
  <c r="N34" i="1"/>
  <c r="J34" i="1"/>
  <c r="F34" i="1"/>
  <c r="N33" i="1"/>
  <c r="J33" i="1"/>
  <c r="I33" i="1"/>
  <c r="H33" i="1"/>
  <c r="G33" i="1"/>
  <c r="F33" i="1"/>
  <c r="S33" i="1" s="1"/>
  <c r="E33" i="1"/>
  <c r="D33" i="1"/>
  <c r="C33" i="1"/>
  <c r="N32" i="1"/>
  <c r="I32" i="1"/>
  <c r="H32" i="1"/>
  <c r="J32" i="1" s="1"/>
  <c r="G32" i="1"/>
  <c r="E32" i="1"/>
  <c r="D32" i="1"/>
  <c r="F32" i="1" s="1"/>
  <c r="C32" i="1"/>
  <c r="N31" i="1"/>
  <c r="J31" i="1"/>
  <c r="H31" i="1"/>
  <c r="G31" i="1"/>
  <c r="C31" i="1"/>
  <c r="F31" i="1" s="1"/>
  <c r="S31" i="1" s="1"/>
  <c r="N30" i="1"/>
  <c r="I30" i="1"/>
  <c r="H30" i="1"/>
  <c r="G30" i="1"/>
  <c r="J30" i="1" s="1"/>
  <c r="E30" i="1"/>
  <c r="D30" i="1"/>
  <c r="C30" i="1"/>
  <c r="F30" i="1" s="1"/>
  <c r="N29" i="1"/>
  <c r="J29" i="1"/>
  <c r="F29" i="1"/>
  <c r="S29" i="1" s="1"/>
  <c r="N27" i="1"/>
  <c r="J27" i="1"/>
  <c r="I27" i="1"/>
  <c r="H27" i="1"/>
  <c r="G27" i="1"/>
  <c r="F27" i="1"/>
  <c r="S27" i="1" s="1"/>
  <c r="E27" i="1"/>
  <c r="D27" i="1"/>
  <c r="C27" i="1"/>
  <c r="N26" i="1"/>
  <c r="I26" i="1"/>
  <c r="I28" i="1" s="1"/>
  <c r="H26" i="1"/>
  <c r="H28" i="1" s="1"/>
  <c r="G26" i="1"/>
  <c r="G28" i="1" s="1"/>
  <c r="J28" i="1" s="1"/>
  <c r="E26" i="1"/>
  <c r="E28" i="1" s="1"/>
  <c r="D26" i="1"/>
  <c r="D28" i="1" s="1"/>
  <c r="C26" i="1"/>
  <c r="C28" i="1" s="1"/>
  <c r="F28" i="1" s="1"/>
  <c r="N25" i="1"/>
  <c r="J25" i="1"/>
  <c r="I25" i="1"/>
  <c r="G25" i="1"/>
  <c r="E25" i="1"/>
  <c r="C25" i="1"/>
  <c r="F25" i="1" s="1"/>
  <c r="K24" i="1"/>
  <c r="N23" i="1"/>
  <c r="I23" i="1"/>
  <c r="H23" i="1"/>
  <c r="G23" i="1"/>
  <c r="J23" i="1" s="1"/>
  <c r="E23" i="1"/>
  <c r="D23" i="1"/>
  <c r="C23" i="1"/>
  <c r="F23" i="1" s="1"/>
  <c r="N22" i="1"/>
  <c r="I22" i="1"/>
  <c r="I24" i="1" s="1"/>
  <c r="H22" i="1"/>
  <c r="H24" i="1" s="1"/>
  <c r="G22" i="1"/>
  <c r="G24" i="1" s="1"/>
  <c r="E22" i="1"/>
  <c r="E24" i="1" s="1"/>
  <c r="D22" i="1"/>
  <c r="D24" i="1" s="1"/>
  <c r="C22" i="1"/>
  <c r="C24" i="1" s="1"/>
  <c r="F24" i="1" s="1"/>
  <c r="N21" i="1"/>
  <c r="I21" i="1"/>
  <c r="H21" i="1"/>
  <c r="G21" i="1"/>
  <c r="J21" i="1" s="1"/>
  <c r="E21" i="1"/>
  <c r="D21" i="1"/>
  <c r="C21" i="1"/>
  <c r="F21" i="1" s="1"/>
  <c r="N17" i="1"/>
  <c r="N18" i="1" s="1"/>
  <c r="J17" i="1"/>
  <c r="I17" i="1"/>
  <c r="H17" i="1"/>
  <c r="G17" i="1"/>
  <c r="F17" i="1"/>
  <c r="E17" i="1"/>
  <c r="D17" i="1"/>
  <c r="C17" i="1"/>
  <c r="K16" i="1"/>
  <c r="K18" i="1" s="1"/>
  <c r="N15" i="1"/>
  <c r="I15" i="1"/>
  <c r="H15" i="1"/>
  <c r="G15" i="1"/>
  <c r="J15" i="1" s="1"/>
  <c r="E15" i="1"/>
  <c r="D15" i="1"/>
  <c r="C15" i="1"/>
  <c r="F15" i="1" s="1"/>
  <c r="N14" i="1"/>
  <c r="I14" i="1"/>
  <c r="I16" i="1" s="1"/>
  <c r="H14" i="1"/>
  <c r="H16" i="1" s="1"/>
  <c r="H18" i="1" s="1"/>
  <c r="G14" i="1"/>
  <c r="J14" i="1" s="1"/>
  <c r="E14" i="1"/>
  <c r="E16" i="1" s="1"/>
  <c r="D14" i="1"/>
  <c r="D16" i="1" s="1"/>
  <c r="D18" i="1" s="1"/>
  <c r="C14" i="1"/>
  <c r="F14" i="1" s="1"/>
  <c r="N13" i="1"/>
  <c r="I13" i="1"/>
  <c r="H13" i="1"/>
  <c r="G13" i="1"/>
  <c r="J13" i="1" s="1"/>
  <c r="E13" i="1"/>
  <c r="D13" i="1"/>
  <c r="C13" i="1"/>
  <c r="F13" i="1" s="1"/>
  <c r="N12" i="1"/>
  <c r="I12" i="1"/>
  <c r="H12" i="1"/>
  <c r="G12" i="1"/>
  <c r="J12" i="1" s="1"/>
  <c r="E12" i="1"/>
  <c r="D12" i="1"/>
  <c r="C12" i="1"/>
  <c r="F12" i="1" s="1"/>
  <c r="N11" i="1"/>
  <c r="I11" i="1"/>
  <c r="H11" i="1"/>
  <c r="G11" i="1"/>
  <c r="J11" i="1" s="1"/>
  <c r="E11" i="1"/>
  <c r="D11" i="1"/>
  <c r="C11" i="1"/>
  <c r="F11" i="1" s="1"/>
  <c r="N10" i="1"/>
  <c r="I10" i="1"/>
  <c r="H10" i="1"/>
  <c r="G10" i="1"/>
  <c r="J10" i="1" s="1"/>
  <c r="E10" i="1"/>
  <c r="D10" i="1"/>
  <c r="C10" i="1"/>
  <c r="F10" i="1" s="1"/>
  <c r="N9" i="1"/>
  <c r="I9" i="1"/>
  <c r="H9" i="1"/>
  <c r="G9" i="1"/>
  <c r="E9" i="1"/>
  <c r="E18" i="1" s="1"/>
  <c r="D9" i="1"/>
  <c r="C9" i="1"/>
  <c r="S38" i="1" l="1"/>
  <c r="S36" i="1"/>
  <c r="S34" i="1"/>
  <c r="S25" i="1"/>
  <c r="N40" i="1"/>
  <c r="S17" i="1"/>
  <c r="S15" i="1"/>
  <c r="S11" i="1"/>
  <c r="S35" i="1"/>
  <c r="G18" i="1"/>
  <c r="G41" i="1" s="1"/>
  <c r="S10" i="1"/>
  <c r="F16" i="1"/>
  <c r="S14" i="1"/>
  <c r="H41" i="1"/>
  <c r="S21" i="1"/>
  <c r="H40" i="1"/>
  <c r="F37" i="1"/>
  <c r="J37" i="1"/>
  <c r="S13" i="1"/>
  <c r="D41" i="1"/>
  <c r="D40" i="1"/>
  <c r="I40" i="1"/>
  <c r="S30" i="1"/>
  <c r="I18" i="1"/>
  <c r="I41" i="1" s="1"/>
  <c r="S12" i="1"/>
  <c r="E40" i="1"/>
  <c r="E41" i="1" s="1"/>
  <c r="J24" i="1"/>
  <c r="J40" i="1" s="1"/>
  <c r="S23" i="1"/>
  <c r="S32" i="1"/>
  <c r="C16" i="1"/>
  <c r="C18" i="1" s="1"/>
  <c r="C41" i="1" s="1"/>
  <c r="G16" i="1"/>
  <c r="J16" i="1" s="1"/>
  <c r="F26" i="1"/>
  <c r="J26" i="1"/>
  <c r="F9" i="1"/>
  <c r="J9" i="1"/>
  <c r="J18" i="1" s="1"/>
  <c r="F22" i="1"/>
  <c r="J22" i="1"/>
  <c r="C40" i="1"/>
  <c r="G40" i="1"/>
  <c r="K40" i="1"/>
  <c r="K41" i="1" s="1"/>
  <c r="S40" i="1" l="1"/>
  <c r="S9" i="1"/>
  <c r="F18" i="1"/>
  <c r="F41" i="1" s="1"/>
  <c r="S22" i="1"/>
  <c r="S26" i="1"/>
  <c r="J41" i="1"/>
  <c r="F40" i="1"/>
  <c r="N41" i="1"/>
  <c r="S18" i="1" l="1"/>
  <c r="S41" i="1" s="1"/>
</calcChain>
</file>

<file path=xl/sharedStrings.xml><?xml version="1.0" encoding="utf-8"?>
<sst xmlns="http://schemas.openxmlformats.org/spreadsheetml/2006/main" count="70" uniqueCount="50">
  <si>
    <t>ANALIZE LABORATOR</t>
  </si>
  <si>
    <t>NR.CRT</t>
  </si>
  <si>
    <t>FURNIZORI</t>
  </si>
  <si>
    <t>IAN</t>
  </si>
  <si>
    <t>FEB</t>
  </si>
  <si>
    <t>MART</t>
  </si>
  <si>
    <t>TRIM. I</t>
  </si>
  <si>
    <t>APR</t>
  </si>
  <si>
    <t>MAI</t>
  </si>
  <si>
    <t>IUN</t>
  </si>
  <si>
    <t>TRIM. II</t>
  </si>
  <si>
    <t xml:space="preserve">IUL </t>
  </si>
  <si>
    <t>AUG</t>
  </si>
  <si>
    <t>SEPT</t>
  </si>
  <si>
    <t>TRIM.III</t>
  </si>
  <si>
    <t>OCT</t>
  </si>
  <si>
    <t>NOV</t>
  </si>
  <si>
    <t>DEC</t>
  </si>
  <si>
    <t>TRIM.IV</t>
  </si>
  <si>
    <t>TOTAL AN</t>
  </si>
  <si>
    <t>SC DORNA MEDICAL SRL</t>
  </si>
  <si>
    <t>SC MURIVISAN BISTRITA</t>
  </si>
  <si>
    <t>SC MURIVISAN BECLEAN</t>
  </si>
  <si>
    <t>SC OPTIMUS MEDICA SRL</t>
  </si>
  <si>
    <t>SC HOLISTIC SRL</t>
  </si>
  <si>
    <t>SPITAL JUD B-TA- ANALIZE</t>
  </si>
  <si>
    <t>SPITAL JUD B-TA- HISTOPA</t>
  </si>
  <si>
    <t>SPITAL OR.NASAUD- HISTOPA</t>
  </si>
  <si>
    <t>TOTAL</t>
  </si>
  <si>
    <t>RADIOLOGIE SI IMAGISTICA</t>
  </si>
  <si>
    <t>SC HIPERDIA SA</t>
  </si>
  <si>
    <t>SC MURIVISAN SRL-CT+RMN</t>
  </si>
  <si>
    <t>SC MURIVISAN SRL-RADIOLOGIE</t>
  </si>
  <si>
    <t>ADIT MURIVISAN-ECOGRAFII</t>
  </si>
  <si>
    <t>SPITAL JUD BISTRITA-RADIOLOGIE</t>
  </si>
  <si>
    <t>SPITAL JUD BISTRITA-EKG</t>
  </si>
  <si>
    <t>ADIT SP.JUD BISTRITA-ECOGRAFII</t>
  </si>
  <si>
    <t>SPITAL ORAS BECLEAN-RADIOLOGIE</t>
  </si>
  <si>
    <t>ADIT SP.OR.BECLEAN-ECOGRAFII</t>
  </si>
  <si>
    <t>SPITAL ORAS NASAUD-RADIOLOGIE</t>
  </si>
  <si>
    <t>ADIT SP.OR.NASAUD-ECOGRAFII</t>
  </si>
  <si>
    <t>ADIT CLINICA SANOVIL-ECOGRAFII</t>
  </si>
  <si>
    <t>ADIT CMI CHIRLEJAN MIHAELA-ECOGRAFII</t>
  </si>
  <si>
    <t>ADIT CMI CHIRLEJAN MIHAELA-EKG</t>
  </si>
  <si>
    <t>ADIT CMI MARIASIU MIHAI-ECOGRAFII</t>
  </si>
  <si>
    <t>SC GAMMA MEDICAL SRL-SCINTIGRAFII</t>
  </si>
  <si>
    <t>TOTAL GENERAL</t>
  </si>
  <si>
    <t>CONTRACT DE SERVICII MEDICALE PARACLINICE AN 2016</t>
  </si>
  <si>
    <t xml:space="preserve">                              BUGET AN 2016  </t>
  </si>
  <si>
    <t>DISPONIBIL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</si>
</sst>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.5"/>
      <color rgb="FF0000FF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5" xfId="0" applyFont="1" applyBorder="1"/>
    <xf numFmtId="0" fontId="5" fillId="0" borderId="6" xfId="0" applyFont="1" applyBorder="1"/>
    <xf numFmtId="4" fontId="0" fillId="0" borderId="5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4" fontId="4" fillId="0" borderId="9" xfId="0" applyNumberFormat="1" applyFont="1" applyBorder="1"/>
    <xf numFmtId="4" fontId="4" fillId="0" borderId="5" xfId="0" applyNumberFormat="1" applyFont="1" applyBorder="1"/>
    <xf numFmtId="4" fontId="3" fillId="0" borderId="10" xfId="0" applyNumberFormat="1" applyFont="1" applyBorder="1"/>
    <xf numFmtId="0" fontId="0" fillId="0" borderId="11" xfId="0" applyFont="1" applyBorder="1"/>
    <xf numFmtId="0" fontId="5" fillId="0" borderId="12" xfId="0" applyFont="1" applyBorder="1"/>
    <xf numFmtId="4" fontId="0" fillId="0" borderId="11" xfId="0" applyNumberFormat="1" applyFont="1" applyBorder="1"/>
    <xf numFmtId="4" fontId="0" fillId="0" borderId="13" xfId="0" applyNumberFormat="1" applyFont="1" applyBorder="1"/>
    <xf numFmtId="4" fontId="0" fillId="0" borderId="14" xfId="0" applyNumberFormat="1" applyFont="1" applyBorder="1"/>
    <xf numFmtId="4" fontId="4" fillId="0" borderId="11" xfId="0" applyNumberFormat="1" applyFont="1" applyBorder="1"/>
    <xf numFmtId="0" fontId="0" fillId="0" borderId="15" xfId="0" applyFont="1" applyBorder="1"/>
    <xf numFmtId="0" fontId="6" fillId="0" borderId="16" xfId="0" applyFont="1" applyBorder="1"/>
    <xf numFmtId="4" fontId="2" fillId="0" borderId="15" xfId="0" applyNumberFormat="1" applyFont="1" applyBorder="1"/>
    <xf numFmtId="4" fontId="2" fillId="0" borderId="17" xfId="0" applyNumberFormat="1" applyFont="1" applyBorder="1"/>
    <xf numFmtId="4" fontId="2" fillId="0" borderId="18" xfId="0" applyNumberFormat="1" applyFont="1" applyBorder="1"/>
    <xf numFmtId="4" fontId="4" fillId="0" borderId="17" xfId="0" applyNumberFormat="1" applyFont="1" applyBorder="1"/>
    <xf numFmtId="4" fontId="4" fillId="0" borderId="15" xfId="0" applyNumberFormat="1" applyFont="1" applyBorder="1"/>
    <xf numFmtId="0" fontId="0" fillId="0" borderId="19" xfId="0" applyFont="1" applyBorder="1"/>
    <xf numFmtId="0" fontId="5" fillId="0" borderId="20" xfId="0" applyFont="1" applyBorder="1"/>
    <xf numFmtId="4" fontId="0" fillId="0" borderId="15" xfId="0" applyNumberFormat="1" applyFont="1" applyBorder="1"/>
    <xf numFmtId="4" fontId="0" fillId="0" borderId="17" xfId="0" applyNumberFormat="1" applyFont="1" applyBorder="1"/>
    <xf numFmtId="4" fontId="0" fillId="0" borderId="18" xfId="0" applyNumberFormat="1" applyFont="1" applyBorder="1"/>
    <xf numFmtId="0" fontId="2" fillId="0" borderId="1" xfId="0" applyFont="1" applyBorder="1"/>
    <xf numFmtId="0" fontId="2" fillId="0" borderId="2" xfId="0" applyFont="1" applyFill="1" applyBorder="1"/>
    <xf numFmtId="4" fontId="2" fillId="0" borderId="1" xfId="0" applyNumberFormat="1" applyFont="1" applyBorder="1"/>
    <xf numFmtId="4" fontId="2" fillId="0" borderId="3" xfId="0" applyNumberFormat="1" applyFont="1" applyBorder="1"/>
    <xf numFmtId="4" fontId="2" fillId="0" borderId="2" xfId="0" applyNumberFormat="1" applyFont="1" applyBorder="1"/>
    <xf numFmtId="4" fontId="2" fillId="0" borderId="4" xfId="0" applyNumberFormat="1" applyFont="1" applyBorder="1"/>
    <xf numFmtId="0" fontId="2" fillId="0" borderId="0" xfId="0" applyFont="1" applyBorder="1"/>
    <xf numFmtId="0" fontId="0" fillId="0" borderId="0" xfId="0" applyFont="1" applyBorder="1"/>
    <xf numFmtId="0" fontId="4" fillId="0" borderId="0" xfId="0" applyFont="1"/>
    <xf numFmtId="0" fontId="2" fillId="0" borderId="3" xfId="0" applyFont="1" applyBorder="1" applyAlignment="1">
      <alignment wrapText="1"/>
    </xf>
    <xf numFmtId="0" fontId="5" fillId="0" borderId="5" xfId="0" applyFont="1" applyBorder="1"/>
    <xf numFmtId="4" fontId="0" fillId="0" borderId="21" xfId="0" applyNumberFormat="1" applyFont="1" applyBorder="1"/>
    <xf numFmtId="4" fontId="3" fillId="0" borderId="5" xfId="0" applyNumberFormat="1" applyFont="1" applyBorder="1"/>
    <xf numFmtId="0" fontId="5" fillId="0" borderId="11" xfId="0" applyFont="1" applyBorder="1"/>
    <xf numFmtId="4" fontId="7" fillId="0" borderId="13" xfId="0" applyNumberFormat="1" applyFont="1" applyBorder="1"/>
    <xf numFmtId="4" fontId="3" fillId="0" borderId="11" xfId="0" applyNumberFormat="1" applyFont="1" applyBorder="1"/>
    <xf numFmtId="0" fontId="8" fillId="0" borderId="11" xfId="0" applyFont="1" applyBorder="1"/>
    <xf numFmtId="4" fontId="4" fillId="0" borderId="13" xfId="0" applyNumberFormat="1" applyFont="1" applyBorder="1"/>
    <xf numFmtId="4" fontId="7" fillId="0" borderId="11" xfId="0" applyNumberFormat="1" applyFont="1" applyBorder="1"/>
    <xf numFmtId="4" fontId="7" fillId="0" borderId="9" xfId="0" applyNumberFormat="1" applyFont="1" applyBorder="1"/>
    <xf numFmtId="0" fontId="5" fillId="0" borderId="15" xfId="0" applyFont="1" applyBorder="1"/>
    <xf numFmtId="0" fontId="8" fillId="0" borderId="15" xfId="0" applyFont="1" applyBorder="1"/>
    <xf numFmtId="0" fontId="5" fillId="0" borderId="19" xfId="0" applyFont="1" applyBorder="1"/>
    <xf numFmtId="4" fontId="0" fillId="0" borderId="19" xfId="0" applyNumberFormat="1" applyFont="1" applyBorder="1"/>
    <xf numFmtId="4" fontId="4" fillId="0" borderId="19" xfId="0" applyNumberFormat="1" applyFont="1" applyBorder="1"/>
    <xf numFmtId="4" fontId="3" fillId="0" borderId="19" xfId="0" applyNumberFormat="1" applyFont="1" applyBorder="1"/>
    <xf numFmtId="0" fontId="0" fillId="0" borderId="1" xfId="0" applyFont="1" applyBorder="1"/>
    <xf numFmtId="0" fontId="2" fillId="0" borderId="4" xfId="0" applyFont="1" applyBorder="1"/>
    <xf numFmtId="0" fontId="2" fillId="0" borderId="22" xfId="0" applyFont="1" applyBorder="1"/>
    <xf numFmtId="0" fontId="2" fillId="0" borderId="22" xfId="0" applyFont="1" applyFill="1" applyBorder="1"/>
    <xf numFmtId="4" fontId="2" fillId="0" borderId="23" xfId="0" applyNumberFormat="1" applyFont="1" applyBorder="1"/>
    <xf numFmtId="4" fontId="2" fillId="0" borderId="24" xfId="0" applyNumberFormat="1" applyFont="1" applyBorder="1"/>
    <xf numFmtId="4" fontId="2" fillId="0" borderId="25" xfId="0" applyNumberFormat="1" applyFont="1" applyBorder="1"/>
    <xf numFmtId="4" fontId="1" fillId="0" borderId="0" xfId="0" applyNumberFormat="1" applyFon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45"/>
  <sheetViews>
    <sheetView tabSelected="1" topLeftCell="B1" workbookViewId="0">
      <pane xSplit="1" topLeftCell="C1" activePane="topRight" state="frozen"/>
      <selection activeCell="B1" sqref="B1"/>
      <selection pane="topRight" activeCell="B42" sqref="B42:B43"/>
    </sheetView>
  </sheetViews>
  <sheetFormatPr defaultRowHeight="15" x14ac:dyDescent="0.25"/>
  <cols>
    <col min="1" max="1" width="4" customWidth="1"/>
    <col min="2" max="2" width="30.28515625" customWidth="1"/>
    <col min="3" max="5" width="9.85546875" customWidth="1"/>
    <col min="6" max="6" width="10" customWidth="1"/>
    <col min="7" max="7" width="11.85546875" customWidth="1"/>
    <col min="8" max="8" width="11.42578125" customWidth="1"/>
    <col min="9" max="10" width="10" customWidth="1"/>
    <col min="11" max="11" width="9.85546875" customWidth="1"/>
    <col min="12" max="12" width="10.42578125" customWidth="1"/>
    <col min="13" max="13" width="10.7109375" customWidth="1"/>
    <col min="14" max="14" width="9.85546875" customWidth="1"/>
    <col min="15" max="15" width="10.42578125" customWidth="1"/>
    <col min="16" max="16" width="9.85546875" customWidth="1"/>
    <col min="17" max="17" width="9.7109375" customWidth="1"/>
    <col min="18" max="18" width="11.28515625" customWidth="1"/>
    <col min="19" max="19" width="11.5703125" customWidth="1"/>
  </cols>
  <sheetData>
    <row r="5" spans="1:19" x14ac:dyDescent="0.25">
      <c r="C5" s="1" t="s">
        <v>47</v>
      </c>
      <c r="D5" s="1"/>
      <c r="E5" s="1"/>
      <c r="F5" s="1"/>
    </row>
    <row r="6" spans="1:19" x14ac:dyDescent="0.25">
      <c r="B6" s="1"/>
      <c r="D6" s="1" t="s">
        <v>48</v>
      </c>
      <c r="E6" s="2"/>
      <c r="F6" s="2"/>
      <c r="G6" s="2">
        <v>3114000</v>
      </c>
      <c r="H6" s="75">
        <f>G6-G7</f>
        <v>1047385.9000000001</v>
      </c>
      <c r="I6" t="s">
        <v>49</v>
      </c>
    </row>
    <row r="7" spans="1:19" ht="15.75" thickBot="1" x14ac:dyDescent="0.3">
      <c r="A7" s="3"/>
      <c r="B7" s="1" t="s">
        <v>0</v>
      </c>
      <c r="C7" s="3"/>
      <c r="D7" s="3"/>
      <c r="E7" s="3"/>
      <c r="F7" s="3"/>
      <c r="G7" s="74">
        <v>2066614.0999999999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34.5" customHeight="1" thickBot="1" x14ac:dyDescent="0.3">
      <c r="A8" s="4" t="s">
        <v>1</v>
      </c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1" t="s">
        <v>8</v>
      </c>
      <c r="I8" s="12" t="s">
        <v>9</v>
      </c>
      <c r="J8" s="13" t="s">
        <v>10</v>
      </c>
      <c r="K8" s="12" t="s">
        <v>11</v>
      </c>
      <c r="L8" s="14" t="s">
        <v>12</v>
      </c>
      <c r="M8" s="12" t="s">
        <v>13</v>
      </c>
      <c r="N8" s="13" t="s">
        <v>14</v>
      </c>
      <c r="O8" s="12" t="s">
        <v>15</v>
      </c>
      <c r="P8" s="14" t="s">
        <v>16</v>
      </c>
      <c r="Q8" s="12" t="s">
        <v>17</v>
      </c>
      <c r="R8" s="13" t="s">
        <v>18</v>
      </c>
      <c r="S8" s="15" t="s">
        <v>19</v>
      </c>
    </row>
    <row r="9" spans="1:19" x14ac:dyDescent="0.25">
      <c r="A9" s="16">
        <v>1</v>
      </c>
      <c r="B9" s="17" t="s">
        <v>20</v>
      </c>
      <c r="C9" s="18">
        <f>35336-5.24</f>
        <v>35330.76</v>
      </c>
      <c r="D9" s="19">
        <f>35336+141-19.58</f>
        <v>35457.42</v>
      </c>
      <c r="E9" s="20">
        <f>35336+141+11.58-18.88</f>
        <v>35469.700000000004</v>
      </c>
      <c r="F9" s="21">
        <f>SUM(C9:E9)</f>
        <v>106257.88</v>
      </c>
      <c r="G9" s="19">
        <f>35336-14.16</f>
        <v>35321.839999999997</v>
      </c>
      <c r="H9" s="18">
        <f>35332-0.38</f>
        <v>35331.620000000003</v>
      </c>
      <c r="I9" s="19">
        <f>35331-14.99</f>
        <v>35316.01</v>
      </c>
      <c r="J9" s="22">
        <f t="shared" ref="J9:J17" si="0">SUM(G9:I9)</f>
        <v>105969.47</v>
      </c>
      <c r="K9" s="19">
        <v>35331</v>
      </c>
      <c r="L9" s="18">
        <v>34282</v>
      </c>
      <c r="M9" s="19">
        <v>33734</v>
      </c>
      <c r="N9" s="22">
        <f t="shared" ref="N9:N17" si="1">SUM(K9:M9)</f>
        <v>103347</v>
      </c>
      <c r="O9" s="19">
        <v>33734</v>
      </c>
      <c r="P9" s="18">
        <v>15619</v>
      </c>
      <c r="Q9" s="19"/>
      <c r="R9" s="22"/>
      <c r="S9" s="23">
        <f t="shared" ref="S9:S17" si="2">F9+J9+N9+R9</f>
        <v>315574.34999999998</v>
      </c>
    </row>
    <row r="10" spans="1:19" x14ac:dyDescent="0.25">
      <c r="A10" s="24">
        <v>2</v>
      </c>
      <c r="B10" s="25" t="s">
        <v>21</v>
      </c>
      <c r="C10" s="26">
        <f>32560+115.33</f>
        <v>32675.33</v>
      </c>
      <c r="D10" s="27">
        <f>32560+144+200+3270-3275.08</f>
        <v>32898.92</v>
      </c>
      <c r="E10" s="28">
        <f>32560+144-3270+1593.9+2215.07</f>
        <v>33242.97</v>
      </c>
      <c r="F10" s="29">
        <f t="shared" ref="F10:F13" si="3">SUM(C10:E10)</f>
        <v>98817.22</v>
      </c>
      <c r="G10" s="27">
        <f>32560+3754.68</f>
        <v>36314.68</v>
      </c>
      <c r="H10" s="26">
        <f>32731+3.56</f>
        <v>32734.560000000001</v>
      </c>
      <c r="I10" s="27">
        <f>32730-4.2</f>
        <v>32725.8</v>
      </c>
      <c r="J10" s="21">
        <f t="shared" si="0"/>
        <v>101775.04000000001</v>
      </c>
      <c r="K10" s="27">
        <v>32730</v>
      </c>
      <c r="L10" s="26">
        <v>33765</v>
      </c>
      <c r="M10" s="27">
        <v>33217</v>
      </c>
      <c r="N10" s="21">
        <f t="shared" si="1"/>
        <v>99712</v>
      </c>
      <c r="O10" s="27">
        <v>33217</v>
      </c>
      <c r="P10" s="26">
        <v>15359</v>
      </c>
      <c r="Q10" s="27"/>
      <c r="R10" s="21"/>
      <c r="S10" s="23">
        <f t="shared" si="2"/>
        <v>300304.26</v>
      </c>
    </row>
    <row r="11" spans="1:19" x14ac:dyDescent="0.25">
      <c r="A11" s="24">
        <v>3</v>
      </c>
      <c r="B11" s="25" t="s">
        <v>22</v>
      </c>
      <c r="C11" s="26">
        <f>13853-132.35</f>
        <v>13720.65</v>
      </c>
      <c r="D11" s="27">
        <f>13853+46+1390+2595.18</f>
        <v>17884.18</v>
      </c>
      <c r="E11" s="28">
        <f>13853+46-1390-3105.58</f>
        <v>9403.42</v>
      </c>
      <c r="F11" s="29">
        <f t="shared" si="3"/>
        <v>41008.25</v>
      </c>
      <c r="G11" s="27">
        <f>13853-3747.42</f>
        <v>10105.58</v>
      </c>
      <c r="H11" s="26">
        <f>13907-90.19</f>
        <v>13816.81</v>
      </c>
      <c r="I11" s="27">
        <f>13906-10.3</f>
        <v>13895.7</v>
      </c>
      <c r="J11" s="21">
        <f t="shared" si="0"/>
        <v>37818.089999999997</v>
      </c>
      <c r="K11" s="27">
        <v>13906</v>
      </c>
      <c r="L11" s="26">
        <v>21985</v>
      </c>
      <c r="M11" s="27">
        <v>21437</v>
      </c>
      <c r="N11" s="21">
        <f t="shared" si="1"/>
        <v>57328</v>
      </c>
      <c r="O11" s="27">
        <v>21437</v>
      </c>
      <c r="P11" s="26">
        <v>9471</v>
      </c>
      <c r="Q11" s="27"/>
      <c r="R11" s="21"/>
      <c r="S11" s="23">
        <f t="shared" si="2"/>
        <v>136154.34</v>
      </c>
    </row>
    <row r="12" spans="1:19" x14ac:dyDescent="0.25">
      <c r="A12" s="24">
        <v>4</v>
      </c>
      <c r="B12" s="25" t="s">
        <v>23</v>
      </c>
      <c r="C12" s="26">
        <f>33574-59.23</f>
        <v>33514.769999999997</v>
      </c>
      <c r="D12" s="27">
        <f>33574+119+3369-355.84</f>
        <v>36706.160000000003</v>
      </c>
      <c r="E12" s="28">
        <f>33574+119-3369+355.84-5.09</f>
        <v>30674.75</v>
      </c>
      <c r="F12" s="29">
        <f t="shared" si="3"/>
        <v>100895.67999999999</v>
      </c>
      <c r="G12" s="27">
        <f>33574-0.6</f>
        <v>33573.4</v>
      </c>
      <c r="H12" s="26">
        <f>33713+310.33</f>
        <v>34023.33</v>
      </c>
      <c r="I12" s="27">
        <f>33712-2.29</f>
        <v>33709.71</v>
      </c>
      <c r="J12" s="21">
        <f t="shared" si="0"/>
        <v>101306.44</v>
      </c>
      <c r="K12" s="27">
        <v>33712</v>
      </c>
      <c r="L12" s="26">
        <v>32052</v>
      </c>
      <c r="M12" s="27">
        <v>31504</v>
      </c>
      <c r="N12" s="21">
        <f t="shared" si="1"/>
        <v>97268</v>
      </c>
      <c r="O12" s="27">
        <v>31504</v>
      </c>
      <c r="P12" s="26">
        <v>14505</v>
      </c>
      <c r="Q12" s="27"/>
      <c r="R12" s="21"/>
      <c r="S12" s="23">
        <f t="shared" si="2"/>
        <v>299470.12</v>
      </c>
    </row>
    <row r="13" spans="1:19" x14ac:dyDescent="0.25">
      <c r="A13" s="24">
        <v>5</v>
      </c>
      <c r="B13" s="25" t="s">
        <v>24</v>
      </c>
      <c r="C13" s="26">
        <f>36377-1.15</f>
        <v>36375.85</v>
      </c>
      <c r="D13" s="27">
        <f>36377-537+3584-270.25</f>
        <v>39153.75</v>
      </c>
      <c r="E13" s="28">
        <f>36379-537-3584+270.25-28.51</f>
        <v>32499.74</v>
      </c>
      <c r="F13" s="29">
        <f t="shared" si="3"/>
        <v>108029.34000000001</v>
      </c>
      <c r="G13" s="27">
        <f>36379-10.52</f>
        <v>36368.480000000003</v>
      </c>
      <c r="H13" s="26">
        <f>35863-566.74</f>
        <v>35296.26</v>
      </c>
      <c r="I13" s="27">
        <f>35863+566.74-246.05</f>
        <v>36183.689999999995</v>
      </c>
      <c r="J13" s="21">
        <f t="shared" si="0"/>
        <v>107848.43</v>
      </c>
      <c r="K13" s="27">
        <v>35863</v>
      </c>
      <c r="L13" s="26">
        <v>35968</v>
      </c>
      <c r="M13" s="27">
        <v>35420</v>
      </c>
      <c r="N13" s="21">
        <f t="shared" si="1"/>
        <v>107251</v>
      </c>
      <c r="O13" s="27">
        <v>35420</v>
      </c>
      <c r="P13" s="26">
        <v>16460</v>
      </c>
      <c r="Q13" s="27"/>
      <c r="R13" s="21"/>
      <c r="S13" s="23">
        <f t="shared" si="2"/>
        <v>323128.77</v>
      </c>
    </row>
    <row r="14" spans="1:19" x14ac:dyDescent="0.25">
      <c r="A14" s="24">
        <v>6</v>
      </c>
      <c r="B14" s="25" t="s">
        <v>25</v>
      </c>
      <c r="C14" s="26">
        <f>20516+3906.35</f>
        <v>24422.35</v>
      </c>
      <c r="D14" s="27">
        <f>20516+87+5932.49</f>
        <v>26535.489999999998</v>
      </c>
      <c r="E14" s="28">
        <f>20518+87+5638.95</f>
        <v>26243.95</v>
      </c>
      <c r="F14" s="29">
        <f>SUM(C14:E14)</f>
        <v>77201.789999999994</v>
      </c>
      <c r="G14" s="27">
        <f>20518+4676.39</f>
        <v>25194.39</v>
      </c>
      <c r="H14" s="26">
        <f>20620+960.42</f>
        <v>21580.42</v>
      </c>
      <c r="I14" s="27">
        <f>20619+3838.66</f>
        <v>24457.66</v>
      </c>
      <c r="J14" s="21">
        <f t="shared" si="0"/>
        <v>71232.47</v>
      </c>
      <c r="K14" s="27">
        <v>20619</v>
      </c>
      <c r="L14" s="26">
        <v>24195</v>
      </c>
      <c r="M14" s="27">
        <v>23645</v>
      </c>
      <c r="N14" s="21">
        <f t="shared" si="1"/>
        <v>68459</v>
      </c>
      <c r="O14" s="27">
        <v>23645</v>
      </c>
      <c r="P14" s="26">
        <v>10572</v>
      </c>
      <c r="Q14" s="27"/>
      <c r="R14" s="21"/>
      <c r="S14" s="23">
        <f t="shared" si="2"/>
        <v>216893.26</v>
      </c>
    </row>
    <row r="15" spans="1:19" x14ac:dyDescent="0.25">
      <c r="A15" s="24">
        <v>6</v>
      </c>
      <c r="B15" s="25" t="s">
        <v>26</v>
      </c>
      <c r="C15" s="26">
        <f>2900-1960</f>
        <v>940</v>
      </c>
      <c r="D15" s="27">
        <f>2900-480</f>
        <v>2420</v>
      </c>
      <c r="E15" s="28">
        <f>2900-250</f>
        <v>2650</v>
      </c>
      <c r="F15" s="29">
        <f t="shared" ref="F15" si="4">SUM(C15:E15)</f>
        <v>6010</v>
      </c>
      <c r="G15" s="27">
        <f>2900+90</f>
        <v>2990</v>
      </c>
      <c r="H15" s="26">
        <f>2963-3</f>
        <v>2960</v>
      </c>
      <c r="I15" s="27">
        <f>2962-552</f>
        <v>2410</v>
      </c>
      <c r="J15" s="21">
        <f t="shared" si="0"/>
        <v>8360</v>
      </c>
      <c r="K15" s="27">
        <v>2962</v>
      </c>
      <c r="L15" s="26">
        <v>1200</v>
      </c>
      <c r="M15" s="27">
        <v>1200</v>
      </c>
      <c r="N15" s="21">
        <f t="shared" si="1"/>
        <v>5362</v>
      </c>
      <c r="O15" s="27">
        <v>1200</v>
      </c>
      <c r="P15" s="26">
        <v>602</v>
      </c>
      <c r="Q15" s="27"/>
      <c r="R15" s="21"/>
      <c r="S15" s="23">
        <f t="shared" si="2"/>
        <v>19732</v>
      </c>
    </row>
    <row r="16" spans="1:19" x14ac:dyDescent="0.25">
      <c r="A16" s="30"/>
      <c r="B16" s="31"/>
      <c r="C16" s="32">
        <f>SUM(C14:C15)</f>
        <v>25362.35</v>
      </c>
      <c r="D16" s="33">
        <f>SUM(D14:D15)</f>
        <v>28955.489999999998</v>
      </c>
      <c r="E16" s="34">
        <f>SUM(E14:E15)</f>
        <v>28893.95</v>
      </c>
      <c r="F16" s="29">
        <f>F14+F15</f>
        <v>83211.789999999994</v>
      </c>
      <c r="G16" s="35">
        <f>SUM(G14:G15)</f>
        <v>28184.39</v>
      </c>
      <c r="H16" s="36">
        <f>SUM(H14:H15)</f>
        <v>24540.42</v>
      </c>
      <c r="I16" s="35">
        <f>SUM(I14:I15)</f>
        <v>26867.66</v>
      </c>
      <c r="J16" s="21">
        <f t="shared" si="0"/>
        <v>79592.47</v>
      </c>
      <c r="K16" s="33">
        <f>SUM(K14:K15)</f>
        <v>23581</v>
      </c>
      <c r="L16" s="33">
        <f>SUM(L14:L15)</f>
        <v>25395</v>
      </c>
      <c r="M16" s="33">
        <f>SUM(M14:M15)</f>
        <v>24845</v>
      </c>
      <c r="N16" s="33">
        <f>SUM(N14:N15)</f>
        <v>73821</v>
      </c>
      <c r="O16" s="33">
        <f t="shared" ref="O16:S16" si="5">SUM(O14:O15)</f>
        <v>24845</v>
      </c>
      <c r="P16" s="33">
        <f t="shared" si="5"/>
        <v>11174</v>
      </c>
      <c r="Q16" s="33">
        <f t="shared" si="5"/>
        <v>0</v>
      </c>
      <c r="R16" s="33">
        <f t="shared" si="5"/>
        <v>0</v>
      </c>
      <c r="S16" s="33">
        <f t="shared" si="5"/>
        <v>236625.26</v>
      </c>
    </row>
    <row r="17" spans="1:19" ht="15.75" thickBot="1" x14ac:dyDescent="0.3">
      <c r="A17" s="37">
        <v>7</v>
      </c>
      <c r="B17" s="38" t="s">
        <v>27</v>
      </c>
      <c r="C17" s="39">
        <f>2100-1980</f>
        <v>120</v>
      </c>
      <c r="D17" s="40">
        <f>2100-1850</f>
        <v>250</v>
      </c>
      <c r="E17" s="41">
        <f>2048-1688</f>
        <v>360</v>
      </c>
      <c r="F17" s="36">
        <f t="shared" ref="F17" si="6">SUM(C17:E17)</f>
        <v>730</v>
      </c>
      <c r="G17" s="40">
        <f>2048-1158</f>
        <v>890</v>
      </c>
      <c r="H17" s="39">
        <f>2303-1433</f>
        <v>870</v>
      </c>
      <c r="I17" s="40">
        <f>2303-1413</f>
        <v>890</v>
      </c>
      <c r="J17" s="21">
        <f t="shared" si="0"/>
        <v>2650</v>
      </c>
      <c r="K17" s="40">
        <v>2303</v>
      </c>
      <c r="L17" s="39">
        <v>594</v>
      </c>
      <c r="M17" s="40">
        <v>594</v>
      </c>
      <c r="N17" s="21">
        <f t="shared" si="1"/>
        <v>3491</v>
      </c>
      <c r="O17" s="40">
        <v>594</v>
      </c>
      <c r="P17" s="39">
        <v>300</v>
      </c>
      <c r="Q17" s="40"/>
      <c r="R17" s="21"/>
      <c r="S17" s="23">
        <f t="shared" si="2"/>
        <v>6871</v>
      </c>
    </row>
    <row r="18" spans="1:19" ht="15.75" thickBot="1" x14ac:dyDescent="0.3">
      <c r="A18" s="42"/>
      <c r="B18" s="43" t="s">
        <v>28</v>
      </c>
      <c r="C18" s="44">
        <f t="shared" ref="C18:J18" si="7">C9+C10+C11+C12+C13+C16+C17</f>
        <v>177099.71</v>
      </c>
      <c r="D18" s="44">
        <f t="shared" si="7"/>
        <v>191305.91999999998</v>
      </c>
      <c r="E18" s="45">
        <f t="shared" si="7"/>
        <v>170544.53000000003</v>
      </c>
      <c r="F18" s="44">
        <f t="shared" si="7"/>
        <v>538950.16</v>
      </c>
      <c r="G18" s="46">
        <f t="shared" si="7"/>
        <v>180758.37</v>
      </c>
      <c r="H18" s="44">
        <f t="shared" si="7"/>
        <v>176613</v>
      </c>
      <c r="I18" s="46">
        <f t="shared" si="7"/>
        <v>179588.57</v>
      </c>
      <c r="J18" s="44">
        <f t="shared" si="7"/>
        <v>536959.94000000006</v>
      </c>
      <c r="K18" s="46">
        <f>K9+K10+K11+K12+K13+K16+K17</f>
        <v>177426</v>
      </c>
      <c r="L18" s="46">
        <f>L9+L10+L11+L12+L13+L16+L17</f>
        <v>184041</v>
      </c>
      <c r="M18" s="46">
        <f>M9+M10+M11+M12+M13+M16+M17</f>
        <v>180751</v>
      </c>
      <c r="N18" s="46">
        <f t="shared" ref="N18:R18" si="8">N9+N10+N11+N12+N13+N16+N17</f>
        <v>542218</v>
      </c>
      <c r="O18" s="46">
        <f t="shared" si="8"/>
        <v>180751</v>
      </c>
      <c r="P18" s="46">
        <f t="shared" si="8"/>
        <v>82888</v>
      </c>
      <c r="Q18" s="46">
        <f t="shared" si="8"/>
        <v>0</v>
      </c>
      <c r="R18" s="46">
        <f t="shared" si="8"/>
        <v>0</v>
      </c>
      <c r="S18" s="47">
        <f>S9+S10+S11+S12+S13+S16+S17</f>
        <v>1618128.0999999999</v>
      </c>
    </row>
    <row r="19" spans="1:19" ht="15.75" thickBot="1" x14ac:dyDescent="0.3">
      <c r="A19" s="3"/>
      <c r="B19" s="48" t="s">
        <v>29</v>
      </c>
      <c r="C19" s="49"/>
      <c r="D19" s="49"/>
      <c r="E19" s="4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50"/>
      <c r="S19" s="2"/>
    </row>
    <row r="20" spans="1:19" ht="33" customHeight="1" thickBot="1" x14ac:dyDescent="0.3">
      <c r="A20" s="51" t="s">
        <v>1</v>
      </c>
      <c r="B20" s="42" t="s">
        <v>2</v>
      </c>
      <c r="C20" s="6" t="s">
        <v>3</v>
      </c>
      <c r="D20" s="7" t="s">
        <v>4</v>
      </c>
      <c r="E20" s="8" t="s">
        <v>5</v>
      </c>
      <c r="F20" s="9" t="s">
        <v>6</v>
      </c>
      <c r="G20" s="10" t="s">
        <v>7</v>
      </c>
      <c r="H20" s="11" t="s">
        <v>8</v>
      </c>
      <c r="I20" s="12" t="s">
        <v>9</v>
      </c>
      <c r="J20" s="13" t="s">
        <v>10</v>
      </c>
      <c r="K20" s="12" t="s">
        <v>11</v>
      </c>
      <c r="L20" s="14" t="s">
        <v>12</v>
      </c>
      <c r="M20" s="12" t="s">
        <v>13</v>
      </c>
      <c r="N20" s="13" t="s">
        <v>14</v>
      </c>
      <c r="O20" s="12" t="s">
        <v>15</v>
      </c>
      <c r="P20" s="14" t="s">
        <v>16</v>
      </c>
      <c r="Q20" s="12" t="s">
        <v>17</v>
      </c>
      <c r="R20" s="13" t="s">
        <v>18</v>
      </c>
      <c r="S20" s="15" t="s">
        <v>19</v>
      </c>
    </row>
    <row r="21" spans="1:19" x14ac:dyDescent="0.25">
      <c r="A21" s="16">
        <v>1</v>
      </c>
      <c r="B21" s="52" t="s">
        <v>30</v>
      </c>
      <c r="C21" s="19">
        <f>50816-1</f>
        <v>50815</v>
      </c>
      <c r="D21" s="18">
        <f>50816+4296.29-162.29</f>
        <v>54950</v>
      </c>
      <c r="E21" s="19">
        <f>50818+1207.8+29.2</f>
        <v>52055</v>
      </c>
      <c r="F21" s="22">
        <f>SUM(C21:E21)</f>
        <v>157820</v>
      </c>
      <c r="G21" s="53">
        <f>50816+74</f>
        <v>50890</v>
      </c>
      <c r="H21" s="18">
        <f>50898+3137.89+384.11</f>
        <v>54420</v>
      </c>
      <c r="I21" s="53">
        <f>50898+227.89-0.89</f>
        <v>51125</v>
      </c>
      <c r="J21" s="22">
        <f t="shared" ref="J21:J38" si="9">SUM(G21:I21)</f>
        <v>156435</v>
      </c>
      <c r="K21" s="53">
        <v>50898</v>
      </c>
      <c r="L21" s="18">
        <v>44886</v>
      </c>
      <c r="M21" s="53">
        <v>44886</v>
      </c>
      <c r="N21" s="22">
        <f t="shared" ref="N21:N39" si="10">SUM(K21:M21)</f>
        <v>140670</v>
      </c>
      <c r="O21" s="53">
        <v>44886</v>
      </c>
      <c r="P21" s="18">
        <v>22444</v>
      </c>
      <c r="Q21" s="53"/>
      <c r="R21" s="22"/>
      <c r="S21" s="54">
        <f t="shared" ref="S21:S39" si="11">F21+J21+N21+R21</f>
        <v>454925</v>
      </c>
    </row>
    <row r="22" spans="1:19" x14ac:dyDescent="0.25">
      <c r="A22" s="24">
        <v>2</v>
      </c>
      <c r="B22" s="55" t="s">
        <v>31</v>
      </c>
      <c r="C22" s="27">
        <f>18861+4659</f>
        <v>23520</v>
      </c>
      <c r="D22" s="26">
        <f>18861+5739</f>
        <v>24600</v>
      </c>
      <c r="E22" s="27">
        <f>18924+5616</f>
        <v>24540</v>
      </c>
      <c r="F22" s="29">
        <f>SUM(C22:E22)</f>
        <v>72660</v>
      </c>
      <c r="G22" s="56">
        <f>18861+6049</f>
        <v>24910</v>
      </c>
      <c r="H22" s="26">
        <f>18912+1196.74+5876.26</f>
        <v>25985</v>
      </c>
      <c r="I22" s="27">
        <f>18912+6998</f>
        <v>25910</v>
      </c>
      <c r="J22" s="21">
        <f t="shared" si="9"/>
        <v>76805</v>
      </c>
      <c r="K22" s="27">
        <v>18912</v>
      </c>
      <c r="L22" s="26">
        <v>49678</v>
      </c>
      <c r="M22" s="27">
        <v>49678</v>
      </c>
      <c r="N22" s="21">
        <f t="shared" si="10"/>
        <v>118268</v>
      </c>
      <c r="O22" s="27">
        <v>49678</v>
      </c>
      <c r="P22" s="26">
        <v>24839</v>
      </c>
      <c r="Q22" s="27"/>
      <c r="R22" s="21"/>
      <c r="S22" s="57">
        <f t="shared" si="11"/>
        <v>267733</v>
      </c>
    </row>
    <row r="23" spans="1:19" x14ac:dyDescent="0.25">
      <c r="A23" s="24">
        <v>2</v>
      </c>
      <c r="B23" s="55" t="s">
        <v>32</v>
      </c>
      <c r="C23" s="27">
        <f>14352-4596</f>
        <v>9756</v>
      </c>
      <c r="D23" s="26">
        <f>14352+1435-6653</f>
        <v>9134</v>
      </c>
      <c r="E23" s="27">
        <f>14352-1435-4741</f>
        <v>8176</v>
      </c>
      <c r="F23" s="29">
        <f t="shared" ref="F23" si="12">SUM(C23:E23)</f>
        <v>27066</v>
      </c>
      <c r="G23" s="56">
        <f>14352-7073</f>
        <v>7279</v>
      </c>
      <c r="H23" s="26">
        <f>14375-5888</f>
        <v>8487</v>
      </c>
      <c r="I23" s="27">
        <f>14375-7017</f>
        <v>7358</v>
      </c>
      <c r="J23" s="21">
        <f t="shared" si="9"/>
        <v>23124</v>
      </c>
      <c r="K23" s="27">
        <v>14375</v>
      </c>
      <c r="L23" s="26">
        <v>5205</v>
      </c>
      <c r="M23" s="27">
        <v>5205</v>
      </c>
      <c r="N23" s="21">
        <f t="shared" si="10"/>
        <v>24785</v>
      </c>
      <c r="O23" s="27">
        <v>5205</v>
      </c>
      <c r="P23" s="26">
        <v>2604</v>
      </c>
      <c r="Q23" s="27"/>
      <c r="R23" s="21"/>
      <c r="S23" s="57">
        <f t="shared" si="11"/>
        <v>74975</v>
      </c>
    </row>
    <row r="24" spans="1:19" x14ac:dyDescent="0.25">
      <c r="A24" s="24"/>
      <c r="B24" s="58"/>
      <c r="C24" s="59">
        <f>SUM(C22:C23)</f>
        <v>33276</v>
      </c>
      <c r="D24" s="29">
        <f>SUM(D22:D23)</f>
        <v>33734</v>
      </c>
      <c r="E24" s="59">
        <f>SUM(E22:E23)</f>
        <v>32716</v>
      </c>
      <c r="F24" s="29">
        <f>SUM(C24:E24)</f>
        <v>99726</v>
      </c>
      <c r="G24" s="59">
        <f>SUM(G22:G23)</f>
        <v>32189</v>
      </c>
      <c r="H24" s="29">
        <f>SUM(H22:H23)</f>
        <v>34472</v>
      </c>
      <c r="I24" s="59">
        <f>SUM(I22:I23)</f>
        <v>33268</v>
      </c>
      <c r="J24" s="21">
        <f t="shared" si="9"/>
        <v>99929</v>
      </c>
      <c r="K24" s="59">
        <f>SUM(K22:K23)</f>
        <v>33287</v>
      </c>
      <c r="L24" s="59">
        <f t="shared" ref="L24:M24" si="13">SUM(L22:L23)</f>
        <v>54883</v>
      </c>
      <c r="M24" s="59">
        <f t="shared" si="13"/>
        <v>54883</v>
      </c>
      <c r="N24" s="59">
        <f t="shared" ref="N24" si="14">SUM(N22:N23)</f>
        <v>143053</v>
      </c>
      <c r="O24" s="59">
        <f t="shared" ref="O24" si="15">SUM(O22:O23)</f>
        <v>54883</v>
      </c>
      <c r="P24" s="59">
        <f t="shared" ref="P24" si="16">SUM(P22:P23)</f>
        <v>27443</v>
      </c>
      <c r="Q24" s="59">
        <f t="shared" ref="Q24" si="17">SUM(Q22:Q23)</f>
        <v>0</v>
      </c>
      <c r="R24" s="59">
        <f t="shared" ref="R24" si="18">SUM(R22:R23)</f>
        <v>0</v>
      </c>
      <c r="S24" s="59">
        <f t="shared" ref="S24" si="19">SUM(S22:S23)</f>
        <v>342708</v>
      </c>
    </row>
    <row r="25" spans="1:19" x14ac:dyDescent="0.25">
      <c r="A25" s="24">
        <v>3</v>
      </c>
      <c r="B25" s="55" t="s">
        <v>33</v>
      </c>
      <c r="C25" s="27">
        <f>240-240</f>
        <v>0</v>
      </c>
      <c r="D25" s="26">
        <v>240</v>
      </c>
      <c r="E25" s="27">
        <f>240-60</f>
        <v>180</v>
      </c>
      <c r="F25" s="29">
        <f>SUM(C25:E25)</f>
        <v>420</v>
      </c>
      <c r="G25" s="27">
        <f>240-180</f>
        <v>60</v>
      </c>
      <c r="H25" s="26">
        <v>300</v>
      </c>
      <c r="I25" s="27">
        <f>300-95</f>
        <v>205</v>
      </c>
      <c r="J25" s="21">
        <f>SUM(G25:I25)</f>
        <v>565</v>
      </c>
      <c r="K25" s="27">
        <v>300</v>
      </c>
      <c r="L25" s="26">
        <v>180</v>
      </c>
      <c r="M25" s="27">
        <v>180</v>
      </c>
      <c r="N25" s="21">
        <f t="shared" si="10"/>
        <v>660</v>
      </c>
      <c r="O25" s="27">
        <v>180</v>
      </c>
      <c r="P25" s="26">
        <v>231</v>
      </c>
      <c r="Q25" s="27"/>
      <c r="R25" s="21"/>
      <c r="S25" s="57">
        <f t="shared" si="11"/>
        <v>1645</v>
      </c>
    </row>
    <row r="26" spans="1:19" x14ac:dyDescent="0.25">
      <c r="A26" s="24">
        <v>4</v>
      </c>
      <c r="B26" s="55" t="s">
        <v>34</v>
      </c>
      <c r="C26" s="27">
        <f>17731-299-6168</f>
        <v>11264</v>
      </c>
      <c r="D26" s="26">
        <f>17731-6497</f>
        <v>11234</v>
      </c>
      <c r="E26" s="27">
        <f>17731-6117</f>
        <v>11614</v>
      </c>
      <c r="F26" s="29">
        <f t="shared" ref="F26:F27" si="20">SUM(C26:E26)</f>
        <v>34112</v>
      </c>
      <c r="G26" s="27">
        <f>17731-6588</f>
        <v>11143</v>
      </c>
      <c r="H26" s="26">
        <f>17760-1825</f>
        <v>15935</v>
      </c>
      <c r="I26" s="27">
        <f>17760+593-3490</f>
        <v>14863</v>
      </c>
      <c r="J26" s="21">
        <f t="shared" si="9"/>
        <v>41941</v>
      </c>
      <c r="K26" s="27">
        <v>17760</v>
      </c>
      <c r="L26" s="26">
        <v>6451</v>
      </c>
      <c r="M26" s="27">
        <v>6451</v>
      </c>
      <c r="N26" s="21">
        <f t="shared" si="10"/>
        <v>30662</v>
      </c>
      <c r="O26" s="27">
        <v>6451</v>
      </c>
      <c r="P26" s="26">
        <v>3228</v>
      </c>
      <c r="Q26" s="27"/>
      <c r="R26" s="21"/>
      <c r="S26" s="57">
        <f t="shared" si="11"/>
        <v>106715</v>
      </c>
    </row>
    <row r="27" spans="1:19" x14ac:dyDescent="0.25">
      <c r="A27" s="24">
        <v>4</v>
      </c>
      <c r="B27" s="55" t="s">
        <v>35</v>
      </c>
      <c r="C27" s="27">
        <f>1631-11</f>
        <v>1620</v>
      </c>
      <c r="D27" s="26">
        <f>1631-1</f>
        <v>1630</v>
      </c>
      <c r="E27" s="27">
        <f>1632-2</f>
        <v>1630</v>
      </c>
      <c r="F27" s="29">
        <f t="shared" si="20"/>
        <v>4880</v>
      </c>
      <c r="G27" s="27">
        <f>1631-1</f>
        <v>1630</v>
      </c>
      <c r="H27" s="26">
        <f>1613-13</f>
        <v>1600</v>
      </c>
      <c r="I27" s="27">
        <f>1613-63</f>
        <v>1550</v>
      </c>
      <c r="J27" s="21">
        <f t="shared" si="9"/>
        <v>4780</v>
      </c>
      <c r="K27" s="27">
        <v>1613</v>
      </c>
      <c r="L27" s="26">
        <v>0</v>
      </c>
      <c r="M27" s="27">
        <v>0</v>
      </c>
      <c r="N27" s="21">
        <f t="shared" si="10"/>
        <v>1613</v>
      </c>
      <c r="O27" s="27">
        <v>0</v>
      </c>
      <c r="P27" s="26">
        <v>0</v>
      </c>
      <c r="Q27" s="27"/>
      <c r="R27" s="21"/>
      <c r="S27" s="57">
        <f t="shared" si="11"/>
        <v>11273</v>
      </c>
    </row>
    <row r="28" spans="1:19" x14ac:dyDescent="0.25">
      <c r="A28" s="24"/>
      <c r="B28" s="58"/>
      <c r="C28" s="59">
        <f>SUM(C26:C27)</f>
        <v>12884</v>
      </c>
      <c r="D28" s="29">
        <f>SUM(D26:D27)</f>
        <v>12864</v>
      </c>
      <c r="E28" s="59">
        <f>SUM(E26:E27)</f>
        <v>13244</v>
      </c>
      <c r="F28" s="29">
        <f>SUM(C28:E28)</f>
        <v>38992</v>
      </c>
      <c r="G28" s="59">
        <f>SUM(G26:G27)</f>
        <v>12773</v>
      </c>
      <c r="H28" s="29">
        <f>SUM(H26:H27)</f>
        <v>17535</v>
      </c>
      <c r="I28" s="59">
        <f>SUM(I26:I27)</f>
        <v>16413</v>
      </c>
      <c r="J28" s="21">
        <f t="shared" si="9"/>
        <v>46721</v>
      </c>
      <c r="K28" s="59">
        <f>SUM(K26:K27)</f>
        <v>19373</v>
      </c>
      <c r="L28" s="59">
        <f>SUM(L26:L27)</f>
        <v>6451</v>
      </c>
      <c r="M28" s="59">
        <f t="shared" ref="M28" si="21">SUM(M26:M27)</f>
        <v>6451</v>
      </c>
      <c r="N28" s="59">
        <f t="shared" ref="N28" si="22">SUM(N26:N27)</f>
        <v>32275</v>
      </c>
      <c r="O28" s="59">
        <f t="shared" ref="O28" si="23">SUM(O26:O27)</f>
        <v>6451</v>
      </c>
      <c r="P28" s="59">
        <f t="shared" ref="P28" si="24">SUM(P26:P27)</f>
        <v>3228</v>
      </c>
      <c r="Q28" s="59">
        <f t="shared" ref="Q28" si="25">SUM(Q26:Q27)</f>
        <v>0</v>
      </c>
      <c r="R28" s="59">
        <f t="shared" ref="R28" si="26">SUM(R26:R27)</f>
        <v>0</v>
      </c>
      <c r="S28" s="59">
        <f t="shared" ref="S28" si="27">SUM(S26:S27)</f>
        <v>117988</v>
      </c>
    </row>
    <row r="29" spans="1:19" x14ac:dyDescent="0.25">
      <c r="A29" s="24">
        <v>5</v>
      </c>
      <c r="B29" s="55" t="s">
        <v>36</v>
      </c>
      <c r="C29" s="56">
        <v>0</v>
      </c>
      <c r="D29" s="60">
        <v>0</v>
      </c>
      <c r="E29" s="56">
        <v>0</v>
      </c>
      <c r="F29" s="29">
        <f>SUM(C29:E29)</f>
        <v>0</v>
      </c>
      <c r="G29" s="56">
        <v>0</v>
      </c>
      <c r="H29" s="60">
        <v>0</v>
      </c>
      <c r="I29" s="56">
        <v>0</v>
      </c>
      <c r="J29" s="21">
        <f>SUM(G29:I29)</f>
        <v>0</v>
      </c>
      <c r="K29" s="56">
        <v>0</v>
      </c>
      <c r="L29" s="60">
        <v>1680</v>
      </c>
      <c r="M29" s="56">
        <v>1680</v>
      </c>
      <c r="N29" s="21">
        <f t="shared" si="10"/>
        <v>3360</v>
      </c>
      <c r="O29" s="56">
        <v>1680</v>
      </c>
      <c r="P29" s="60">
        <v>954</v>
      </c>
      <c r="Q29" s="56"/>
      <c r="R29" s="61"/>
      <c r="S29" s="57">
        <f t="shared" si="11"/>
        <v>3360</v>
      </c>
    </row>
    <row r="30" spans="1:19" x14ac:dyDescent="0.25">
      <c r="A30" s="24">
        <v>6</v>
      </c>
      <c r="B30" s="55" t="s">
        <v>37</v>
      </c>
      <c r="C30" s="27">
        <f>4092-7</f>
        <v>4085</v>
      </c>
      <c r="D30" s="26">
        <f>4092+8</f>
        <v>4100</v>
      </c>
      <c r="E30" s="27">
        <f>4092+21</f>
        <v>4113</v>
      </c>
      <c r="F30" s="29">
        <f t="shared" ref="F30:F36" si="28">SUM(C30:E30)</f>
        <v>12298</v>
      </c>
      <c r="G30" s="27">
        <f>4092-53</f>
        <v>4039</v>
      </c>
      <c r="H30" s="26">
        <f>4098+6</f>
        <v>4104</v>
      </c>
      <c r="I30" s="27">
        <f>4098-38</f>
        <v>4060</v>
      </c>
      <c r="J30" s="21">
        <f t="shared" si="9"/>
        <v>12203</v>
      </c>
      <c r="K30" s="27">
        <v>4098</v>
      </c>
      <c r="L30" s="26">
        <v>2923</v>
      </c>
      <c r="M30" s="27">
        <v>2923</v>
      </c>
      <c r="N30" s="21">
        <f t="shared" si="10"/>
        <v>9944</v>
      </c>
      <c r="O30" s="27">
        <v>2923</v>
      </c>
      <c r="P30" s="26">
        <v>1461</v>
      </c>
      <c r="Q30" s="27"/>
      <c r="R30" s="21"/>
      <c r="S30" s="57">
        <f t="shared" si="11"/>
        <v>34445</v>
      </c>
    </row>
    <row r="31" spans="1:19" x14ac:dyDescent="0.25">
      <c r="A31" s="24">
        <v>7</v>
      </c>
      <c r="B31" s="55" t="s">
        <v>38</v>
      </c>
      <c r="C31" s="27">
        <f>480+60</f>
        <v>540</v>
      </c>
      <c r="D31" s="26">
        <v>480</v>
      </c>
      <c r="E31" s="27">
        <v>480</v>
      </c>
      <c r="F31" s="29">
        <f>SUM(C31:E31)</f>
        <v>1500</v>
      </c>
      <c r="G31" s="27">
        <f>480-240</f>
        <v>240</v>
      </c>
      <c r="H31" s="26">
        <f>480+60</f>
        <v>540</v>
      </c>
      <c r="I31" s="27">
        <v>480</v>
      </c>
      <c r="J31" s="21">
        <f>SUM(G31:I31)</f>
        <v>1260</v>
      </c>
      <c r="K31" s="27">
        <v>480</v>
      </c>
      <c r="L31" s="26">
        <v>180</v>
      </c>
      <c r="M31" s="27">
        <v>180</v>
      </c>
      <c r="N31" s="21">
        <f t="shared" si="10"/>
        <v>840</v>
      </c>
      <c r="O31" s="27">
        <v>180</v>
      </c>
      <c r="P31" s="26">
        <v>199</v>
      </c>
      <c r="Q31" s="27"/>
      <c r="R31" s="21"/>
      <c r="S31" s="57">
        <f t="shared" si="11"/>
        <v>3600</v>
      </c>
    </row>
    <row r="32" spans="1:19" x14ac:dyDescent="0.25">
      <c r="A32" s="24">
        <v>8</v>
      </c>
      <c r="B32" s="55" t="s">
        <v>39</v>
      </c>
      <c r="C32" s="27">
        <f>8125+2026</f>
        <v>10151</v>
      </c>
      <c r="D32" s="26">
        <f>8125+1780</f>
        <v>9905</v>
      </c>
      <c r="E32" s="27">
        <f>8125+102+1684</f>
        <v>9911</v>
      </c>
      <c r="F32" s="29">
        <f t="shared" si="28"/>
        <v>29967</v>
      </c>
      <c r="G32" s="27">
        <f>8125+30</f>
        <v>8155</v>
      </c>
      <c r="H32" s="26">
        <f>8137+719</f>
        <v>8856</v>
      </c>
      <c r="I32" s="27">
        <f>8137+32+1478</f>
        <v>9647</v>
      </c>
      <c r="J32" s="21">
        <f t="shared" si="9"/>
        <v>26658</v>
      </c>
      <c r="K32" s="27">
        <v>8137</v>
      </c>
      <c r="L32" s="26">
        <v>4751</v>
      </c>
      <c r="M32" s="27">
        <v>4751</v>
      </c>
      <c r="N32" s="21">
        <f t="shared" si="10"/>
        <v>17639</v>
      </c>
      <c r="O32" s="27">
        <v>4751</v>
      </c>
      <c r="P32" s="26">
        <v>2377</v>
      </c>
      <c r="Q32" s="27"/>
      <c r="R32" s="21"/>
      <c r="S32" s="57">
        <f t="shared" si="11"/>
        <v>74264</v>
      </c>
    </row>
    <row r="33" spans="1:19" x14ac:dyDescent="0.25">
      <c r="A33" s="24">
        <v>9</v>
      </c>
      <c r="B33" s="55" t="s">
        <v>40</v>
      </c>
      <c r="C33" s="27">
        <f>720+200</f>
        <v>920</v>
      </c>
      <c r="D33" s="26">
        <f>720+72-32</f>
        <v>760</v>
      </c>
      <c r="E33" s="27">
        <f>720-72-28</f>
        <v>620</v>
      </c>
      <c r="F33" s="29">
        <f>SUM(C33:E33)</f>
        <v>2300</v>
      </c>
      <c r="G33" s="27">
        <f>720+140</f>
        <v>860</v>
      </c>
      <c r="H33" s="26">
        <f>720+80</f>
        <v>800</v>
      </c>
      <c r="I33" s="27">
        <f>720-520</f>
        <v>200</v>
      </c>
      <c r="J33" s="21">
        <f>SUM(G33:I33)</f>
        <v>1860</v>
      </c>
      <c r="K33" s="27">
        <v>720</v>
      </c>
      <c r="L33" s="26">
        <v>600</v>
      </c>
      <c r="M33" s="27">
        <v>600</v>
      </c>
      <c r="N33" s="21">
        <f t="shared" si="10"/>
        <v>1920</v>
      </c>
      <c r="O33" s="27">
        <v>600</v>
      </c>
      <c r="P33" s="26">
        <v>474</v>
      </c>
      <c r="Q33" s="27"/>
      <c r="R33" s="21"/>
      <c r="S33" s="57">
        <f t="shared" si="11"/>
        <v>6080</v>
      </c>
    </row>
    <row r="34" spans="1:19" x14ac:dyDescent="0.25">
      <c r="A34" s="24">
        <v>10</v>
      </c>
      <c r="B34" s="55" t="s">
        <v>41</v>
      </c>
      <c r="C34" s="27">
        <v>540</v>
      </c>
      <c r="D34" s="26">
        <v>540</v>
      </c>
      <c r="E34" s="27">
        <v>540</v>
      </c>
      <c r="F34" s="29">
        <f t="shared" si="28"/>
        <v>1620</v>
      </c>
      <c r="G34" s="27">
        <v>540</v>
      </c>
      <c r="H34" s="26">
        <v>540</v>
      </c>
      <c r="I34" s="27">
        <v>540</v>
      </c>
      <c r="J34" s="21">
        <f t="shared" si="9"/>
        <v>1620</v>
      </c>
      <c r="K34" s="27">
        <v>540</v>
      </c>
      <c r="L34" s="26">
        <v>240</v>
      </c>
      <c r="M34" s="27">
        <v>240</v>
      </c>
      <c r="N34" s="21">
        <f t="shared" si="10"/>
        <v>1020</v>
      </c>
      <c r="O34" s="27">
        <v>240</v>
      </c>
      <c r="P34" s="26">
        <v>237</v>
      </c>
      <c r="Q34" s="27"/>
      <c r="R34" s="21"/>
      <c r="S34" s="57">
        <f t="shared" si="11"/>
        <v>4260</v>
      </c>
    </row>
    <row r="35" spans="1:19" x14ac:dyDescent="0.25">
      <c r="A35" s="30">
        <v>11</v>
      </c>
      <c r="B35" s="62" t="s">
        <v>42</v>
      </c>
      <c r="C35" s="40">
        <f>240+60</f>
        <v>300</v>
      </c>
      <c r="D35" s="39">
        <v>240</v>
      </c>
      <c r="E35" s="40">
        <v>240</v>
      </c>
      <c r="F35" s="29">
        <f t="shared" si="28"/>
        <v>780</v>
      </c>
      <c r="G35" s="40">
        <f>240-120</f>
        <v>120</v>
      </c>
      <c r="H35" s="39">
        <v>300</v>
      </c>
      <c r="I35" s="40">
        <v>240</v>
      </c>
      <c r="J35" s="21">
        <f t="shared" si="9"/>
        <v>660</v>
      </c>
      <c r="K35" s="40">
        <v>240</v>
      </c>
      <c r="L35" s="39">
        <v>120</v>
      </c>
      <c r="M35" s="40">
        <v>120</v>
      </c>
      <c r="N35" s="21">
        <f t="shared" si="10"/>
        <v>480</v>
      </c>
      <c r="O35" s="40">
        <v>120</v>
      </c>
      <c r="P35" s="39">
        <v>243</v>
      </c>
      <c r="Q35" s="40"/>
      <c r="R35" s="21"/>
      <c r="S35" s="57">
        <f t="shared" si="11"/>
        <v>1920</v>
      </c>
    </row>
    <row r="36" spans="1:19" x14ac:dyDescent="0.25">
      <c r="A36" s="30">
        <v>11</v>
      </c>
      <c r="B36" s="62" t="s">
        <v>43</v>
      </c>
      <c r="C36" s="40">
        <f>163-63</f>
        <v>100</v>
      </c>
      <c r="D36" s="39">
        <f>163-3</f>
        <v>160</v>
      </c>
      <c r="E36" s="40">
        <f>164+3-7</f>
        <v>160</v>
      </c>
      <c r="F36" s="29">
        <f t="shared" si="28"/>
        <v>420</v>
      </c>
      <c r="G36" s="40">
        <f>163-23</f>
        <v>140</v>
      </c>
      <c r="H36" s="39">
        <f>161-11</f>
        <v>150</v>
      </c>
      <c r="I36" s="40">
        <f>161+11-12</f>
        <v>160</v>
      </c>
      <c r="J36" s="21">
        <f t="shared" si="9"/>
        <v>450</v>
      </c>
      <c r="K36" s="40">
        <v>161</v>
      </c>
      <c r="L36" s="39">
        <v>0</v>
      </c>
      <c r="M36" s="40">
        <v>0</v>
      </c>
      <c r="N36" s="21">
        <f t="shared" si="10"/>
        <v>161</v>
      </c>
      <c r="O36" s="40">
        <v>0</v>
      </c>
      <c r="P36" s="39">
        <v>0</v>
      </c>
      <c r="Q36" s="40"/>
      <c r="R36" s="21"/>
      <c r="S36" s="57">
        <f t="shared" si="11"/>
        <v>1031</v>
      </c>
    </row>
    <row r="37" spans="1:19" x14ac:dyDescent="0.25">
      <c r="A37" s="30"/>
      <c r="B37" s="63"/>
      <c r="C37" s="35">
        <f>SUM(C35:C36)</f>
        <v>400</v>
      </c>
      <c r="D37" s="36">
        <f>SUM(D35:D36)</f>
        <v>400</v>
      </c>
      <c r="E37" s="35">
        <f>SUM(E35:E36)</f>
        <v>400</v>
      </c>
      <c r="F37" s="29">
        <f>SUM(C37:E37)</f>
        <v>1200</v>
      </c>
      <c r="G37" s="35">
        <f>SUM(G35:G36)</f>
        <v>260</v>
      </c>
      <c r="H37" s="36">
        <f>SUM(H35:H36)</f>
        <v>450</v>
      </c>
      <c r="I37" s="35">
        <f>SUM(I35:I36)</f>
        <v>400</v>
      </c>
      <c r="J37" s="21">
        <f t="shared" si="9"/>
        <v>1110</v>
      </c>
      <c r="K37" s="35">
        <f>SUM(K35:K36)</f>
        <v>401</v>
      </c>
      <c r="L37" s="35">
        <f t="shared" ref="L37:M37" si="29">SUM(L35:L36)</f>
        <v>120</v>
      </c>
      <c r="M37" s="59">
        <f t="shared" si="29"/>
        <v>120</v>
      </c>
      <c r="N37" s="21">
        <f t="shared" ref="N37" si="30">SUM(K37:M37)</f>
        <v>641</v>
      </c>
      <c r="O37" s="59">
        <f t="shared" ref="O37" si="31">SUM(O35:O36)</f>
        <v>120</v>
      </c>
      <c r="P37" s="59">
        <f t="shared" ref="P37" si="32">SUM(P35:P36)</f>
        <v>243</v>
      </c>
      <c r="Q37" s="59">
        <f t="shared" ref="Q37" si="33">SUM(Q35:Q36)</f>
        <v>0</v>
      </c>
      <c r="R37" s="21">
        <f t="shared" ref="R37" si="34">SUM(O37:Q37)</f>
        <v>363</v>
      </c>
      <c r="S37" s="59">
        <f t="shared" ref="S37" si="35">SUM(S35:S36)</f>
        <v>2951</v>
      </c>
    </row>
    <row r="38" spans="1:19" x14ac:dyDescent="0.25">
      <c r="A38" s="24">
        <v>12</v>
      </c>
      <c r="B38" s="55" t="s">
        <v>44</v>
      </c>
      <c r="C38" s="27">
        <v>120</v>
      </c>
      <c r="D38" s="26">
        <v>120</v>
      </c>
      <c r="E38" s="27">
        <f>120-60</f>
        <v>60</v>
      </c>
      <c r="F38" s="29">
        <f t="shared" ref="F38" si="36">SUM(C38:E38)</f>
        <v>300</v>
      </c>
      <c r="G38" s="27">
        <f>120+60</f>
        <v>180</v>
      </c>
      <c r="H38" s="26">
        <v>120</v>
      </c>
      <c r="I38" s="27">
        <v>120</v>
      </c>
      <c r="J38" s="29">
        <f t="shared" si="9"/>
        <v>420</v>
      </c>
      <c r="K38" s="27">
        <v>120</v>
      </c>
      <c r="L38" s="26">
        <v>120</v>
      </c>
      <c r="M38" s="27">
        <v>120</v>
      </c>
      <c r="N38" s="29">
        <f t="shared" si="10"/>
        <v>360</v>
      </c>
      <c r="O38" s="27">
        <v>120</v>
      </c>
      <c r="P38" s="26">
        <v>243</v>
      </c>
      <c r="Q38" s="27"/>
      <c r="R38" s="29"/>
      <c r="S38" s="57">
        <f t="shared" si="11"/>
        <v>1080</v>
      </c>
    </row>
    <row r="39" spans="1:19" ht="15.75" thickBot="1" x14ac:dyDescent="0.3">
      <c r="A39" s="30">
        <v>13</v>
      </c>
      <c r="B39" s="64" t="s">
        <v>45</v>
      </c>
      <c r="C39" s="40">
        <v>0</v>
      </c>
      <c r="D39" s="65">
        <v>0</v>
      </c>
      <c r="E39" s="40">
        <v>0</v>
      </c>
      <c r="F39" s="66">
        <f>SUM(C39:E39)</f>
        <v>0</v>
      </c>
      <c r="G39" s="40">
        <v>0</v>
      </c>
      <c r="H39" s="65">
        <v>0</v>
      </c>
      <c r="I39" s="40">
        <v>0</v>
      </c>
      <c r="J39" s="66">
        <f>SUM(G39:I39)</f>
        <v>0</v>
      </c>
      <c r="K39" s="40">
        <v>0</v>
      </c>
      <c r="L39" s="65">
        <v>2700</v>
      </c>
      <c r="M39" s="40">
        <v>2700</v>
      </c>
      <c r="N39" s="66">
        <f t="shared" si="10"/>
        <v>5400</v>
      </c>
      <c r="O39" s="40">
        <v>2700</v>
      </c>
      <c r="P39" s="65">
        <v>279</v>
      </c>
      <c r="Q39" s="40"/>
      <c r="R39" s="66"/>
      <c r="S39" s="67">
        <f t="shared" si="11"/>
        <v>5400</v>
      </c>
    </row>
    <row r="40" spans="1:19" ht="15.75" thickBot="1" x14ac:dyDescent="0.3">
      <c r="A40" s="68"/>
      <c r="B40" s="69" t="s">
        <v>28</v>
      </c>
      <c r="C40" s="46">
        <f t="shared" ref="C40:K40" si="37">C21+C24+C28+C30+C32+C34+C31+C33+C25+C37+C38</f>
        <v>113731</v>
      </c>
      <c r="D40" s="44">
        <f t="shared" si="37"/>
        <v>118093</v>
      </c>
      <c r="E40" s="46">
        <f t="shared" si="37"/>
        <v>114319</v>
      </c>
      <c r="F40" s="44">
        <f t="shared" si="37"/>
        <v>346143</v>
      </c>
      <c r="G40" s="46">
        <f t="shared" si="37"/>
        <v>110186</v>
      </c>
      <c r="H40" s="44">
        <f t="shared" si="37"/>
        <v>122137</v>
      </c>
      <c r="I40" s="44">
        <f t="shared" si="37"/>
        <v>116458</v>
      </c>
      <c r="J40" s="46">
        <f t="shared" si="37"/>
        <v>348781</v>
      </c>
      <c r="K40" s="44">
        <f t="shared" si="37"/>
        <v>118354</v>
      </c>
      <c r="L40" s="44">
        <f>L21+L24+L25+L28+L29+L30+L31+L32+L33+L34+L37+L38+L39</f>
        <v>119714</v>
      </c>
      <c r="M40" s="44">
        <f>M21+M24+M25+M28+M29+M30+M31+M32+M33+M34+M37+M38+M39</f>
        <v>119714</v>
      </c>
      <c r="N40" s="44">
        <f t="shared" ref="N40:S40" si="38">N21+N24+N25+N28+N29+N30+N31+N32+N33+N34+N37+N38+N39</f>
        <v>357782</v>
      </c>
      <c r="O40" s="44">
        <f t="shared" si="38"/>
        <v>119714</v>
      </c>
      <c r="P40" s="44">
        <f t="shared" si="38"/>
        <v>59813</v>
      </c>
      <c r="Q40" s="44">
        <f t="shared" si="38"/>
        <v>0</v>
      </c>
      <c r="R40" s="44">
        <f t="shared" si="38"/>
        <v>363</v>
      </c>
      <c r="S40" s="44">
        <f t="shared" si="38"/>
        <v>1052706</v>
      </c>
    </row>
    <row r="41" spans="1:19" ht="15.75" thickBot="1" x14ac:dyDescent="0.3">
      <c r="A41" s="70"/>
      <c r="B41" s="71" t="s">
        <v>46</v>
      </c>
      <c r="C41" s="44">
        <f t="shared" ref="C41:R41" si="39">C18+C40</f>
        <v>290830.70999999996</v>
      </c>
      <c r="D41" s="44">
        <f t="shared" si="39"/>
        <v>309398.92</v>
      </c>
      <c r="E41" s="44">
        <f t="shared" si="39"/>
        <v>284863.53000000003</v>
      </c>
      <c r="F41" s="44">
        <f t="shared" si="39"/>
        <v>885093.16</v>
      </c>
      <c r="G41" s="72">
        <f t="shared" si="39"/>
        <v>290944.37</v>
      </c>
      <c r="H41" s="73">
        <f t="shared" si="39"/>
        <v>298750</v>
      </c>
      <c r="I41" s="74">
        <f t="shared" si="39"/>
        <v>296046.57</v>
      </c>
      <c r="J41" s="72">
        <f t="shared" si="39"/>
        <v>885740.94000000006</v>
      </c>
      <c r="K41" s="72">
        <f t="shared" si="39"/>
        <v>295780</v>
      </c>
      <c r="L41" s="72">
        <f t="shared" si="39"/>
        <v>303755</v>
      </c>
      <c r="M41" s="72">
        <f t="shared" si="39"/>
        <v>300465</v>
      </c>
      <c r="N41" s="73">
        <f>N18+N40</f>
        <v>900000</v>
      </c>
      <c r="O41" s="72">
        <f t="shared" si="39"/>
        <v>300465</v>
      </c>
      <c r="P41" s="72">
        <f t="shared" si="39"/>
        <v>142701</v>
      </c>
      <c r="Q41" s="72">
        <f t="shared" si="39"/>
        <v>0</v>
      </c>
      <c r="R41" s="72">
        <f t="shared" si="39"/>
        <v>363</v>
      </c>
      <c r="S41" s="74">
        <f>S18+S40</f>
        <v>2670834.0999999996</v>
      </c>
    </row>
    <row r="42" spans="1:19" x14ac:dyDescent="0.25">
      <c r="L42">
        <v>119714</v>
      </c>
    </row>
    <row r="43" spans="1:19" x14ac:dyDescent="0.25">
      <c r="L43" s="76">
        <f>L40-L42</f>
        <v>0</v>
      </c>
      <c r="R43" s="76">
        <f>O41+P41+R41</f>
        <v>443529</v>
      </c>
    </row>
    <row r="44" spans="1:19" x14ac:dyDescent="0.25">
      <c r="R44">
        <v>442000</v>
      </c>
    </row>
    <row r="45" spans="1:19" x14ac:dyDescent="0.25">
      <c r="R45" s="76">
        <f>R43-R44</f>
        <v>1529</v>
      </c>
    </row>
  </sheetData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 aug-dec 2016</vt:lpstr>
      <vt:lpstr>'Contract aug-dec 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1</dc:creator>
  <cp:lastModifiedBy>dell 1</cp:lastModifiedBy>
  <cp:lastPrinted>2016-07-25T09:16:19Z</cp:lastPrinted>
  <dcterms:created xsi:type="dcterms:W3CDTF">2016-07-21T06:14:57Z</dcterms:created>
  <dcterms:modified xsi:type="dcterms:W3CDTF">2016-11-22T16:34:54Z</dcterms:modified>
</cp:coreProperties>
</file>